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05" windowWidth="9135" windowHeight="1014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Rates'!$A$1:$U$58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Rates'!$A$1:$U$53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<sst xmlns="http://schemas.openxmlformats.org/spreadsheetml/2006/main" count="116" uniqueCount="62">
  <si>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</si>
  <si>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</si>
  <si>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</si>
  <si>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</si>
  <si>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</si>
  <si>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</si>
  <si>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</si>
  <si>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</si>
  <si>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</si>
  <si>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</si>
  <si>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</si>
  <si>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</si>
  <si>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</si>
  <si>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</si>
  <si>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</si>
  <si>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</si>
  <si>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</si>
  <si>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</si>
  <si>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</si>
  <si>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</si>
  <si>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</si>
  <si>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</si>
  <si>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</si>
  <si>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</si>
  <si>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</si>
  <si>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</si>
  <si>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</si>
  <si>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</si>
  <si>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</si>
  <si>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</si>
  <si>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</si>
  <si>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</si>
  <si>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</si>
  <si>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</si>
  <si>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</si>
  <si>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</si>
  <si>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</si>
  <si>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</si>
  <si>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</si>
  <si>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</si>
  <si>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</si>
  <si>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</si>
  <si>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</si>
  <si>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</si>
  <si>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</si>
  <si>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</si>
  <si>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</si>
  <si>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</si>
  <si>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</si>
  <si>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</si>
  <si>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</si>
  <si>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</si>
  <si>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</si>
  <si>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</si>
  <si>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 xml:space="preserve">EXISTING ZONAL PTRR FOR PJM OATT </t>
  </si>
  <si>
    <t>RTEP PTRR FOR PJM COLLECTION UNDER SCHEDULE 12</t>
  </si>
  <si>
    <t>11a</t>
  </si>
  <si>
    <t>Facility Credits under PJM OATT Section 30.9</t>
  </si>
  <si>
    <t>(TCOS Ln 3)</t>
  </si>
  <si>
    <t>Actual Costs Through December 31, 2018</t>
  </si>
  <si>
    <t xml:space="preserve">  </t>
  </si>
  <si>
    <t>PRIOR YEAR TRUE-UP (including interest)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</si>
</sst>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2" fontId="6" fillId="0" borderId="0" xfId="59" applyFont="1" applyAlignment="1">
      <alignment/>
    </xf>
    <xf numFmtId="0" fontId="6" fillId="0" borderId="0" xfId="59" applyNumberFormat="1" applyFont="1" applyAlignment="1" applyProtection="1">
      <alignment horizontal="right"/>
      <protection locked="0"/>
    </xf>
    <xf numFmtId="172" fontId="3" fillId="0" borderId="0" xfId="59" applyFont="1" applyAlignment="1" applyProtection="1">
      <alignment/>
      <protection locked="0"/>
    </xf>
    <xf numFmtId="172" fontId="6" fillId="0" borderId="0" xfId="59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9" applyNumberFormat="1" applyFont="1" applyProtection="1">
      <alignment/>
      <protection locked="0"/>
    </xf>
    <xf numFmtId="0" fontId="3" fillId="0" borderId="0" xfId="59" applyNumberFormat="1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center"/>
      <protection locked="0"/>
    </xf>
    <xf numFmtId="49" fontId="6" fillId="0" borderId="0" xfId="59" applyNumberFormat="1" applyFont="1" applyAlignment="1" applyProtection="1">
      <alignment horizontal="center"/>
      <protection locked="0"/>
    </xf>
    <xf numFmtId="49" fontId="7" fillId="0" borderId="0" xfId="59" applyNumberFormat="1" applyFont="1" applyAlignment="1" applyProtection="1">
      <alignment horizontal="center"/>
      <protection locked="0"/>
    </xf>
    <xf numFmtId="49" fontId="6" fillId="0" borderId="0" xfId="59" applyNumberFormat="1" applyFont="1" applyProtection="1">
      <alignment/>
      <protection locked="0"/>
    </xf>
    <xf numFmtId="172" fontId="8" fillId="0" borderId="0" xfId="59" applyFont="1" applyAlignment="1">
      <alignment horizontal="center"/>
    </xf>
    <xf numFmtId="0" fontId="8" fillId="0" borderId="0" xfId="59" applyNumberFormat="1" applyFont="1" applyAlignment="1" applyProtection="1">
      <alignment horizontal="center"/>
      <protection locked="0"/>
    </xf>
    <xf numFmtId="0" fontId="3" fillId="0" borderId="9" xfId="59" applyNumberFormat="1" applyFont="1" applyBorder="1" applyAlignment="1" applyProtection="1">
      <alignment horizontal="center"/>
      <protection locked="0"/>
    </xf>
    <xf numFmtId="0" fontId="6" fillId="0" borderId="0" xfId="59" applyNumberFormat="1" applyFont="1" applyBorder="1" applyAlignment="1" applyProtection="1">
      <alignment horizontal="center"/>
      <protection locked="0"/>
    </xf>
    <xf numFmtId="0" fontId="3" fillId="0" borderId="0" xfId="59" applyNumberFormat="1" applyFont="1" applyBorder="1" applyAlignment="1" applyProtection="1">
      <alignment horizontal="center"/>
      <protection locked="0"/>
    </xf>
    <xf numFmtId="0" fontId="9" fillId="0" borderId="0" xfId="59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9" applyNumberFormat="1" applyFont="1" applyAlignment="1">
      <alignment/>
    </xf>
    <xf numFmtId="170" fontId="6" fillId="0" borderId="0" xfId="59" applyNumberFormat="1" applyFont="1" applyProtection="1">
      <alignment/>
      <protection locked="0"/>
    </xf>
    <xf numFmtId="1" fontId="6" fillId="0" borderId="0" xfId="59" applyNumberFormat="1" applyFont="1" applyAlignment="1" applyProtection="1">
      <alignment horizontal="center"/>
      <protection locked="0"/>
    </xf>
    <xf numFmtId="170" fontId="6" fillId="0" borderId="0" xfId="59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9" applyFont="1" applyAlignment="1" applyProtection="1">
      <alignment horizontal="center"/>
      <protection locked="0"/>
    </xf>
    <xf numFmtId="172" fontId="3" fillId="0" borderId="0" xfId="59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9" applyNumberFormat="1" applyFont="1" applyBorder="1" applyProtection="1">
      <alignment/>
      <protection locked="0"/>
    </xf>
    <xf numFmtId="172" fontId="6" fillId="0" borderId="12" xfId="59" applyFont="1" applyBorder="1" applyAlignment="1">
      <alignment/>
    </xf>
    <xf numFmtId="1" fontId="6" fillId="0" borderId="12" xfId="59" applyNumberFormat="1" applyFont="1" applyBorder="1" applyAlignment="1" applyProtection="1">
      <alignment horizontal="center"/>
      <protection locked="0"/>
    </xf>
    <xf numFmtId="172" fontId="6" fillId="0" borderId="12" xfId="59" applyFont="1" applyBorder="1" applyAlignment="1" applyProtection="1">
      <alignment/>
      <protection locked="0"/>
    </xf>
    <xf numFmtId="170" fontId="8" fillId="0" borderId="13" xfId="59" applyNumberFormat="1" applyFont="1" applyBorder="1" applyAlignment="1" applyProtection="1">
      <alignment/>
      <protection locked="0"/>
    </xf>
    <xf numFmtId="170" fontId="6" fillId="0" borderId="14" xfId="59" applyNumberFormat="1" applyFont="1" applyBorder="1" applyAlignment="1" applyProtection="1">
      <alignment/>
      <protection locked="0"/>
    </xf>
    <xf numFmtId="170" fontId="6" fillId="0" borderId="0" xfId="59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9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9" applyNumberFormat="1" applyFont="1" applyFill="1">
      <alignment/>
    </xf>
    <xf numFmtId="0" fontId="3" fillId="0" borderId="0" xfId="59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9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9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5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9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9" applyNumberFormat="1" applyFont="1" applyFill="1" applyProtection="1">
      <alignment/>
      <protection locked="0"/>
    </xf>
    <xf numFmtId="0" fontId="6" fillId="0" borderId="0" xfId="59" applyNumberFormat="1" applyFont="1" applyFill="1" applyProtection="1">
      <alignment/>
      <protection locked="0"/>
    </xf>
    <xf numFmtId="0" fontId="3" fillId="0" borderId="0" xfId="59" applyNumberFormat="1" applyFont="1" applyFill="1">
      <alignment/>
    </xf>
    <xf numFmtId="172" fontId="3" fillId="0" borderId="0" xfId="59" applyFont="1" applyFill="1" applyAlignment="1">
      <alignment/>
    </xf>
    <xf numFmtId="170" fontId="6" fillId="0" borderId="16" xfId="59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9" applyNumberFormat="1" applyFont="1" applyBorder="1" applyAlignment="1" applyProtection="1">
      <alignment/>
      <protection locked="0"/>
    </xf>
    <xf numFmtId="0" fontId="6" fillId="0" borderId="0" xfId="59" applyNumberFormat="1" applyFont="1" applyAlignment="1">
      <alignment/>
    </xf>
    <xf numFmtId="170" fontId="6" fillId="0" borderId="16" xfId="59" applyNumberFormat="1" applyFont="1" applyBorder="1" applyAlignment="1">
      <alignment/>
    </xf>
    <xf numFmtId="0" fontId="6" fillId="0" borderId="0" xfId="59" applyNumberFormat="1" applyFont="1" applyFill="1" applyAlignment="1" applyProtection="1">
      <alignment horizontal="center"/>
      <protection locked="0"/>
    </xf>
    <xf numFmtId="1" fontId="6" fillId="0" borderId="0" xfId="59" applyNumberFormat="1" applyFont="1" applyFill="1" applyAlignment="1" applyProtection="1">
      <alignment horizontal="center"/>
      <protection locked="0"/>
    </xf>
    <xf numFmtId="172" fontId="6" fillId="0" borderId="0" xfId="59" applyFont="1" applyFill="1" applyAlignment="1" applyProtection="1">
      <alignment/>
      <protection locked="0"/>
    </xf>
    <xf numFmtId="172" fontId="11" fillId="0" borderId="11" xfId="59" applyFont="1" applyBorder="1" applyAlignment="1">
      <alignment/>
    </xf>
    <xf numFmtId="195" fontId="6" fillId="0" borderId="0" xfId="59" applyNumberFormat="1" applyFont="1" applyAlignment="1">
      <alignment/>
    </xf>
    <xf numFmtId="172" fontId="6" fillId="0" borderId="0" xfId="59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9" applyNumberFormat="1" applyFont="1" applyFill="1" applyAlignment="1">
      <alignment/>
    </xf>
    <xf numFmtId="170" fontId="6" fillId="0" borderId="0" xfId="59" applyNumberFormat="1" applyFont="1" applyFill="1" applyAlignment="1" applyProtection="1">
      <alignment/>
      <protection locked="0"/>
    </xf>
    <xf numFmtId="170" fontId="6" fillId="0" borderId="14" xfId="59" applyNumberFormat="1" applyFont="1" applyFill="1" applyBorder="1" applyAlignment="1" applyProtection="1">
      <alignment/>
      <protection locked="0"/>
    </xf>
    <xf numFmtId="170" fontId="6" fillId="0" borderId="0" xfId="59" applyNumberFormat="1" applyFont="1" applyBorder="1" applyProtection="1">
      <alignment/>
      <protection locked="0"/>
    </xf>
    <xf numFmtId="170" fontId="6" fillId="0" borderId="0" xfId="59" applyNumberFormat="1" applyFont="1" applyFill="1" applyBorder="1" applyAlignment="1" applyProtection="1">
      <alignment/>
      <protection locked="0"/>
    </xf>
    <xf numFmtId="170" fontId="6" fillId="0" borderId="16" xfId="59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9" applyNumberFormat="1" applyFont="1" applyFill="1" applyAlignment="1">
      <alignment/>
    </xf>
    <xf numFmtId="170" fontId="10" fillId="0" borderId="0" xfId="59" applyNumberFormat="1" applyFont="1" applyProtection="1">
      <alignment/>
      <protection locked="0"/>
    </xf>
    <xf numFmtId="170" fontId="10" fillId="0" borderId="0" xfId="59" applyNumberFormat="1" applyFont="1" applyAlignment="1">
      <alignment/>
    </xf>
    <xf numFmtId="170" fontId="10" fillId="0" borderId="0" xfId="59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9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9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9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" fontId="6" fillId="0" borderId="12" xfId="59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9" applyNumberFormat="1" applyFont="1" applyFill="1" applyAlignment="1">
      <alignment/>
    </xf>
    <xf numFmtId="170" fontId="6" fillId="34" borderId="0" xfId="59" applyNumberFormat="1" applyFont="1" applyFill="1" applyAlignment="1" applyProtection="1">
      <alignment/>
      <protection locked="0"/>
    </xf>
    <xf numFmtId="170" fontId="10" fillId="34" borderId="0" xfId="59" applyNumberFormat="1" applyFont="1" applyFill="1" applyAlignment="1">
      <alignment/>
    </xf>
    <xf numFmtId="170" fontId="10" fillId="34" borderId="0" xfId="59" applyNumberFormat="1" applyFont="1" applyFill="1" applyProtection="1">
      <alignment/>
      <protection locked="0"/>
    </xf>
    <xf numFmtId="170" fontId="6" fillId="34" borderId="16" xfId="59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9" applyFont="1" applyAlignment="1">
      <alignment horizontal="center"/>
    </xf>
    <xf numFmtId="0" fontId="8" fillId="34" borderId="0" xfId="59" applyNumberFormat="1" applyFont="1" applyFill="1" applyAlignment="1" applyProtection="1">
      <alignment horizontal="center"/>
      <protection locked="0"/>
    </xf>
    <xf numFmtId="172" fontId="8" fillId="34" borderId="0" xfId="59" applyFont="1" applyFill="1" applyAlignment="1">
      <alignment horizontal="center"/>
    </xf>
    <xf numFmtId="178" fontId="6" fillId="4" borderId="0" xfId="44" applyNumberFormat="1" applyFont="1" applyFill="1" applyAlignment="1" applyProtection="1">
      <alignment/>
      <protection locked="0"/>
    </xf>
    <xf numFmtId="173" fontId="6" fillId="4" borderId="0" xfId="42" applyNumberFormat="1" applyFont="1" applyFill="1" applyAlignment="1" applyProtection="1">
      <alignment/>
      <protection locked="0"/>
    </xf>
    <xf numFmtId="170" fontId="6" fillId="34" borderId="0" xfId="59" applyNumberFormat="1" applyFont="1" applyFill="1" applyBorder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170" fontId="6" fillId="0" borderId="0" xfId="44" applyNumberFormat="1" applyFont="1" applyAlignment="1">
      <alignment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9" applyNumberFormat="1" applyFont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N1 Ratebase Draft SPP template (6-11-04) v2" xfId="59"/>
    <cellStyle name="Note" xfId="60"/>
    <cellStyle name="Output" xfId="61"/>
    <cellStyle name="Percent" xfId="62"/>
    <cellStyle name="Percent 2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Actual%20(ATRR)\Templates\APCo%20-%202018%20ATRR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Actual%20(ATRR)\Templates\KgPCo%20-%202018%20ATRR%20Templat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Actual%20(ATRR)\Templates\OPCo%20-%202018%20ATRR%20Templ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Actual%20(ATRR)\Templates\I&amp;M%20-%202018%20ATRR%20Templat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Actual%20(ATRR)\Templates\KPCo%20-%202018%20ATRR%20Templat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18%20Actual%20(ATRR)\Templates\WPCo%20-%202018%20ATRR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 Q NITS"/>
      <sheetName val="WS Q Schedule 12"/>
      <sheetName val="WSQ Schedule 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KgPCO WS Q Interest"/>
      <sheetName val="KgPCO WS Q Interest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R"/>
      <sheetName val="WSQ Schedule 12"/>
      <sheetName val="WSQ Schedule 1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L"/>
      <sheetName val="WSQ Schedule 12"/>
      <sheetName val="WSQ Schedule 1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KPCO WS Q Interest"/>
      <sheetName val="KPCO WS Q Intere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B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 Other Taxes"/>
      <sheetName val="WS H-1-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S O - PBOP"/>
      <sheetName val="APCo - WS P Dep. Rates"/>
      <sheetName val="IMC - WS P Dep. Rates"/>
      <sheetName val="KGP - WS P Dep. Rates"/>
      <sheetName val="KPC - WS P Dep. Rates"/>
      <sheetName val="OPC - WS P Dep. Rates"/>
      <sheetName val="WPC-WS P Dep. Rates"/>
      <sheetName val="WSQ NSPR"/>
      <sheetName val="WSQ Schedule 12"/>
      <sheetName val="WSQ Schedule 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2"/>
  <sheetViews>
    <sheetView tabSelected="1" view="pageBreakPreview" zoomScale="60" workbookViewId="0" topLeftCell="A1">
      <selection activeCell="D12" sqref="D12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2.57421875" style="1" customWidth="1"/>
    <col min="11" max="11" width="21.57421875" style="1" customWidth="1"/>
    <col min="12" max="12" width="2.57421875" style="1" customWidth="1"/>
    <col min="13" max="13" width="21.28125" style="1" customWidth="1"/>
    <col min="14" max="14" width="2.57421875" style="1" customWidth="1"/>
    <col min="15" max="15" width="23.7109375" style="1" customWidth="1"/>
    <col min="16" max="16" width="2.57421875" style="1" customWidth="1"/>
    <col min="17" max="17" width="21.8515625" style="1" customWidth="1"/>
    <col min="18" max="18" width="2.57421875" style="1" customWidth="1"/>
    <col min="19" max="19" width="20.421875" style="1" customWidth="1"/>
    <col min="20" max="20" width="2.57421875" style="1" customWidth="1"/>
    <col min="21" max="21" width="22.0039062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2018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30" t="s">
        <v>59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1" ht="15">
      <c r="A5" s="129" t="str">
        <f>"Included in rates effective January 1, 2020"</f>
        <v>Included in rates effective January 1, 2020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1" t="s">
        <v>41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20" t="s">
        <v>28</v>
      </c>
      <c r="O10" s="120" t="s">
        <v>29</v>
      </c>
      <c r="Q10" s="13" t="s">
        <v>30</v>
      </c>
      <c r="S10" s="13" t="s">
        <v>31</v>
      </c>
      <c r="U10" s="120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20" t="s">
        <v>2</v>
      </c>
      <c r="O11" s="120" t="s">
        <v>2</v>
      </c>
      <c r="Q11" s="13" t="s">
        <v>2</v>
      </c>
      <c r="S11" s="13" t="s">
        <v>2</v>
      </c>
      <c r="U11" s="120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1" t="s">
        <v>4</v>
      </c>
      <c r="O12" s="121" t="s">
        <v>4</v>
      </c>
      <c r="Q12" s="12" t="s">
        <v>4</v>
      </c>
      <c r="S12" s="12" t="s">
        <v>4</v>
      </c>
      <c r="U12" s="121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818280901.6201354</v>
      </c>
      <c r="J15" s="20"/>
      <c r="K15" s="103">
        <v>302222946.08830595</v>
      </c>
      <c r="L15" s="86"/>
      <c r="M15" s="85">
        <v>132119602.49421635</v>
      </c>
      <c r="N15" s="87"/>
      <c r="O15" s="85">
        <v>58339177.724902466</v>
      </c>
      <c r="P15" s="87"/>
      <c r="Q15" s="85">
        <v>4662005.490531171</v>
      </c>
      <c r="R15" s="87"/>
      <c r="S15" s="85">
        <v>307792787.13180375</v>
      </c>
      <c r="T15" s="87"/>
      <c r="U15" s="85">
        <v>13144382.690375859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7"/>
      <c r="L16" s="86"/>
      <c r="M16" s="87"/>
      <c r="N16" s="87"/>
      <c r="O16" s="87"/>
      <c r="P16" s="87"/>
      <c r="Q16" s="87"/>
      <c r="R16" s="87"/>
      <c r="S16" s="88"/>
      <c r="T16" s="87"/>
      <c r="U16" s="87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22641495.52</v>
      </c>
      <c r="J17" s="20"/>
      <c r="K17" s="85">
        <v>5990685.46</v>
      </c>
      <c r="L17" s="86"/>
      <c r="M17" s="85">
        <v>2981187.6500000004</v>
      </c>
      <c r="N17" s="87"/>
      <c r="O17" s="85">
        <v>264983.8</v>
      </c>
      <c r="P17" s="87"/>
      <c r="Q17" s="85">
        <v>89675.93</v>
      </c>
      <c r="R17" s="87"/>
      <c r="S17" s="85">
        <v>10547611.219999999</v>
      </c>
      <c r="T17" s="87"/>
      <c r="U17" s="85">
        <v>2767351.46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27" t="s">
        <v>9</v>
      </c>
      <c r="E19" s="128"/>
      <c r="F19" s="21"/>
      <c r="G19" s="8" t="s">
        <v>47</v>
      </c>
      <c r="H19" s="4"/>
      <c r="I19" s="19">
        <f>SUM(K19,M19,O19,Q19,S19,U19)</f>
        <v>795639406.1001357</v>
      </c>
      <c r="J19" s="22"/>
      <c r="K19" s="22">
        <f>+K15-K17</f>
        <v>296232260.628306</v>
      </c>
      <c r="L19" s="22"/>
      <c r="M19" s="22">
        <f>+M15-M17</f>
        <v>129138414.84421635</v>
      </c>
      <c r="N19" s="19"/>
      <c r="O19" s="22">
        <f>+O15-O17</f>
        <v>58074193.92490247</v>
      </c>
      <c r="P19" s="19"/>
      <c r="Q19" s="22">
        <f>+Q15-Q17</f>
        <v>4572329.560531171</v>
      </c>
      <c r="R19" s="19"/>
      <c r="S19" s="72">
        <f>+S15-S17</f>
        <v>297245175.9118037</v>
      </c>
      <c r="T19" s="19"/>
      <c r="U19" s="22">
        <f>+U15-U17</f>
        <v>10377031.23037586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1">
        <f>SUM(K22,M22,O22,Q22,S22,U22)</f>
        <v>37957301.62234637</v>
      </c>
      <c r="J22" s="112"/>
      <c r="K22" s="113">
        <v>21491172.967819393</v>
      </c>
      <c r="L22" s="114"/>
      <c r="M22" s="113">
        <v>5501501.426143492</v>
      </c>
      <c r="N22" s="113"/>
      <c r="O22" s="113">
        <v>0</v>
      </c>
      <c r="P22" s="113"/>
      <c r="Q22" s="113">
        <v>0</v>
      </c>
      <c r="R22" s="113"/>
      <c r="S22" s="113">
        <v>10841177.943773547</v>
      </c>
      <c r="T22" s="113"/>
      <c r="U22" s="113">
        <v>123449.28460994094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J)"</f>
        <v>(Worksheet J)</v>
      </c>
      <c r="H23" s="66"/>
      <c r="I23" s="115">
        <f>SUM(K23,M23,O23,Q23,S23,U23)</f>
        <v>0</v>
      </c>
      <c r="J23" s="112"/>
      <c r="K23" s="116">
        <v>0</v>
      </c>
      <c r="L23" s="117"/>
      <c r="M23" s="116">
        <v>0</v>
      </c>
      <c r="N23" s="111"/>
      <c r="O23" s="116">
        <v>0</v>
      </c>
      <c r="P23" s="111"/>
      <c r="Q23" s="116">
        <v>0</v>
      </c>
      <c r="R23" s="111"/>
      <c r="S23" s="116">
        <v>0</v>
      </c>
      <c r="T23" s="111"/>
      <c r="U23" s="116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17">
        <f>+I23+I22</f>
        <v>37957301.62234637</v>
      </c>
      <c r="J24" s="112"/>
      <c r="K24" s="117">
        <f>+K23+K22</f>
        <v>21491172.967819393</v>
      </c>
      <c r="L24" s="117"/>
      <c r="M24" s="117">
        <f>+M23+M22</f>
        <v>5501501.426143492</v>
      </c>
      <c r="N24" s="111"/>
      <c r="O24" s="117">
        <f>+O23+O22</f>
        <v>0</v>
      </c>
      <c r="P24" s="111"/>
      <c r="Q24" s="117">
        <f>+Q23+Q22</f>
        <v>0</v>
      </c>
      <c r="R24" s="111"/>
      <c r="S24" s="117">
        <f>+S23+S22</f>
        <v>10841177.943773547</v>
      </c>
      <c r="T24" s="111"/>
      <c r="U24" s="117">
        <f>+U23+U22</f>
        <v>123449.28460994094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757682104.4777892</v>
      </c>
      <c r="J26" s="22"/>
      <c r="K26" s="77">
        <f>+K19-K24</f>
        <v>274741087.6604866</v>
      </c>
      <c r="L26" s="77"/>
      <c r="M26" s="77">
        <f>+M19-M24</f>
        <v>123636913.41807285</v>
      </c>
      <c r="N26" s="19"/>
      <c r="O26" s="77">
        <f>+O19-O24</f>
        <v>58074193.92490247</v>
      </c>
      <c r="P26" s="19"/>
      <c r="Q26" s="77">
        <f>+Q19-Q24</f>
        <v>4572329.560531171</v>
      </c>
      <c r="R26" s="19"/>
      <c r="S26" s="78">
        <f>+S19-S24</f>
        <v>286403997.96803015</v>
      </c>
      <c r="T26" s="19"/>
      <c r="U26" s="77">
        <f>+U19-U24</f>
        <v>10253581.945765918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0">
        <f>SUM(K28,M28,O28,Q28,S28,U28)</f>
        <v>0</v>
      </c>
      <c r="J28" s="22"/>
      <c r="K28" s="89">
        <v>0</v>
      </c>
      <c r="L28" s="90"/>
      <c r="M28" s="89">
        <v>0</v>
      </c>
      <c r="N28" s="87"/>
      <c r="O28" s="89">
        <v>0</v>
      </c>
      <c r="P28" s="87"/>
      <c r="Q28" s="89">
        <v>0</v>
      </c>
      <c r="R28" s="87"/>
      <c r="S28" s="89">
        <v>0</v>
      </c>
      <c r="T28" s="87"/>
      <c r="U28" s="89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757682104.4777892</v>
      </c>
      <c r="J30" s="22"/>
      <c r="K30" s="77">
        <f>+K26+K28</f>
        <v>274741087.6604866</v>
      </c>
      <c r="L30" s="77"/>
      <c r="M30" s="78">
        <f>+M26+M28</f>
        <v>123636913.41807285</v>
      </c>
      <c r="N30" s="19"/>
      <c r="O30" s="77">
        <f>+O26+O28</f>
        <v>58074193.92490247</v>
      </c>
      <c r="P30" s="19"/>
      <c r="Q30" s="77">
        <f>+Q26+Q28</f>
        <v>4572329.560531171</v>
      </c>
      <c r="R30" s="19"/>
      <c r="S30" s="78">
        <f>+S26+S28</f>
        <v>286403997.96803015</v>
      </c>
      <c r="T30" s="19"/>
      <c r="U30" s="77">
        <f>+U26+U28</f>
        <v>10253581.945765918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9" ht="15">
      <c r="B32" s="7">
        <f>+B30+1</f>
        <v>11</v>
      </c>
      <c r="C32" s="8"/>
      <c r="D32" s="18" t="s">
        <v>61</v>
      </c>
      <c r="E32" s="6"/>
      <c r="F32" s="21"/>
      <c r="G32" s="21" t="s">
        <v>53</v>
      </c>
      <c r="H32" s="4"/>
      <c r="I32" s="19">
        <f>SUM(K32,M32,O32,Q32,S32,U32)</f>
        <v>0</v>
      </c>
      <c r="J32" s="109"/>
      <c r="K32" s="109">
        <v>0</v>
      </c>
      <c r="L32" s="109"/>
      <c r="M32" s="109">
        <v>0</v>
      </c>
      <c r="N32" s="109"/>
      <c r="O32" s="109">
        <v>0</v>
      </c>
      <c r="P32" s="109"/>
      <c r="Q32" s="109">
        <v>0</v>
      </c>
      <c r="R32" s="109"/>
      <c r="S32" s="109">
        <v>0</v>
      </c>
      <c r="T32" s="109"/>
      <c r="U32" s="109">
        <v>0</v>
      </c>
      <c r="V32" s="91"/>
      <c r="W32" s="91"/>
      <c r="X32" s="91"/>
      <c r="Y32" s="91"/>
      <c r="Z32" s="91"/>
      <c r="AA32" s="91"/>
      <c r="AB32" s="91"/>
      <c r="AC32" s="91"/>
    </row>
    <row r="33" spans="2:29" ht="15">
      <c r="B33" s="7"/>
      <c r="C33" s="8"/>
      <c r="D33" s="18"/>
      <c r="E33" s="6"/>
      <c r="F33" s="21"/>
      <c r="G33" s="21"/>
      <c r="H33" s="4"/>
      <c r="I33" s="1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91"/>
      <c r="W33" s="91"/>
      <c r="X33" s="91"/>
      <c r="Y33" s="91"/>
      <c r="Z33" s="91"/>
      <c r="AA33" s="91"/>
      <c r="AB33" s="91"/>
      <c r="AC33" s="91"/>
    </row>
    <row r="34" spans="2:29" ht="15">
      <c r="B34" s="119" t="s">
        <v>56</v>
      </c>
      <c r="D34" s="18" t="s">
        <v>57</v>
      </c>
      <c r="E34" s="6"/>
      <c r="F34" s="21"/>
      <c r="G34" s="25" t="s">
        <v>58</v>
      </c>
      <c r="H34" s="4"/>
      <c r="I34" s="70">
        <f>S34</f>
        <v>0</v>
      </c>
      <c r="J34" s="22"/>
      <c r="K34" s="77"/>
      <c r="L34" s="77"/>
      <c r="M34" s="78"/>
      <c r="N34" s="19"/>
      <c r="O34" s="77"/>
      <c r="P34" s="19"/>
      <c r="Q34" s="77"/>
      <c r="R34" s="19"/>
      <c r="S34" s="78">
        <v>0</v>
      </c>
      <c r="T34" s="19"/>
      <c r="U34" s="77"/>
      <c r="V34" s="91"/>
      <c r="W34" s="91"/>
      <c r="X34" s="91"/>
      <c r="Y34" s="91"/>
      <c r="Z34" s="91"/>
      <c r="AA34" s="91"/>
      <c r="AB34" s="91"/>
      <c r="AC34" s="91"/>
    </row>
    <row r="35" spans="4:29" ht="15.75" thickBot="1">
      <c r="D35" s="1" t="s">
        <v>12</v>
      </c>
      <c r="E35" s="6"/>
      <c r="F35" s="21"/>
      <c r="G35" s="4"/>
      <c r="H35" s="4"/>
      <c r="I35" s="70"/>
      <c r="J35" s="22"/>
      <c r="K35" s="78"/>
      <c r="L35" s="84"/>
      <c r="M35" s="78"/>
      <c r="N35" s="71"/>
      <c r="O35" s="78"/>
      <c r="P35" s="71"/>
      <c r="Q35" s="78"/>
      <c r="R35" s="71"/>
      <c r="S35" s="83"/>
      <c r="T35" s="71"/>
      <c r="U35" s="78"/>
      <c r="V35" s="91"/>
      <c r="W35" s="93"/>
      <c r="X35" s="94"/>
      <c r="Y35" s="94"/>
      <c r="Z35" s="94"/>
      <c r="AA35" s="94"/>
      <c r="AB35" s="94"/>
      <c r="AC35" s="91"/>
    </row>
    <row r="36" spans="2:29" ht="16.5" thickBot="1">
      <c r="B36" s="7">
        <f>+B32+1</f>
        <v>12</v>
      </c>
      <c r="C36" s="8"/>
      <c r="D36" s="27" t="s">
        <v>54</v>
      </c>
      <c r="E36" s="28"/>
      <c r="F36" s="29"/>
      <c r="G36" s="107" t="str">
        <f>"(Ln "&amp;B30&amp;" + Ln "&amp;B32&amp;")"</f>
        <v>(Ln 10 + Ln 11)</v>
      </c>
      <c r="H36" s="31"/>
      <c r="I36" s="32">
        <f>+I30+I32+I34</f>
        <v>757682104.4777892</v>
      </c>
      <c r="J36" s="22"/>
      <c r="K36" s="32">
        <f>+K30+K32</f>
        <v>274741087.6604866</v>
      </c>
      <c r="L36" s="34"/>
      <c r="M36" s="32">
        <f>+M30+M32</f>
        <v>123636913.41807285</v>
      </c>
      <c r="N36" s="19"/>
      <c r="O36" s="32">
        <f>+O30+O32</f>
        <v>58074193.92490247</v>
      </c>
      <c r="P36" s="19"/>
      <c r="Q36" s="32">
        <f>+Q30+Q32</f>
        <v>4572329.560531171</v>
      </c>
      <c r="R36" s="19"/>
      <c r="S36" s="32">
        <f>+S30+S32+S34</f>
        <v>286403997.96803015</v>
      </c>
      <c r="T36" s="19"/>
      <c r="U36" s="32">
        <f>+U30+U32</f>
        <v>10253581.945765918</v>
      </c>
      <c r="V36" s="91"/>
      <c r="W36" s="95"/>
      <c r="X36" s="96"/>
      <c r="Y36" s="96"/>
      <c r="Z36" s="96"/>
      <c r="AA36" s="96"/>
      <c r="AB36" s="96"/>
      <c r="AC36" s="91"/>
    </row>
    <row r="37" spans="2:22" ht="15">
      <c r="B37" s="7"/>
      <c r="C37" s="8"/>
      <c r="D37" s="18"/>
      <c r="E37" s="6"/>
      <c r="G37" s="21"/>
      <c r="H37" s="4"/>
      <c r="I37" s="126"/>
      <c r="J37" s="4"/>
      <c r="L37" s="34"/>
      <c r="N37" s="34"/>
      <c r="O37" s="91"/>
      <c r="P37" s="95"/>
      <c r="Q37" s="96"/>
      <c r="R37" s="96"/>
      <c r="S37" s="96"/>
      <c r="T37" s="96"/>
      <c r="U37" s="96"/>
      <c r="V37" s="91"/>
    </row>
    <row r="38" spans="1:22" ht="15.75">
      <c r="A38" s="12" t="s">
        <v>18</v>
      </c>
      <c r="B38" s="17" t="s">
        <v>19</v>
      </c>
      <c r="C38" s="15"/>
      <c r="D38" s="6"/>
      <c r="E38" s="108" t="s">
        <v>12</v>
      </c>
      <c r="F38" s="6"/>
      <c r="G38" s="6"/>
      <c r="H38" s="6"/>
      <c r="I38" s="34"/>
      <c r="J38" s="6"/>
      <c r="K38" s="100"/>
      <c r="L38" s="99"/>
      <c r="M38" s="100"/>
      <c r="N38" s="99"/>
      <c r="O38" s="91"/>
      <c r="P38" s="95"/>
      <c r="Q38" s="96"/>
      <c r="R38" s="96"/>
      <c r="S38" s="96"/>
      <c r="T38" s="96"/>
      <c r="U38" s="96"/>
      <c r="V38" s="91"/>
    </row>
    <row r="39" spans="2:22" ht="15">
      <c r="B39" s="7">
        <f>+B36+1</f>
        <v>13</v>
      </c>
      <c r="C39" s="8"/>
      <c r="D39" s="35" t="str">
        <f>""&amp;V1&amp;" AEP East Zone Network Service Peak Load (1 CP)"</f>
        <v>2018 AEP East Zone Network Service Peak Load (1 CP)</v>
      </c>
      <c r="E39" s="6"/>
      <c r="F39" s="21"/>
      <c r="G39" s="25"/>
      <c r="H39" s="4"/>
      <c r="I39" s="122">
        <v>21647.2</v>
      </c>
      <c r="J39" s="4" t="s">
        <v>20</v>
      </c>
      <c r="L39" s="22"/>
      <c r="N39" s="22"/>
      <c r="O39" s="91"/>
      <c r="P39" s="95"/>
      <c r="Q39" s="96"/>
      <c r="R39" s="96"/>
      <c r="S39" s="96"/>
      <c r="T39" s="96"/>
      <c r="U39" s="96"/>
      <c r="V39" s="91"/>
    </row>
    <row r="40" spans="1:22" ht="15">
      <c r="A40" s="36"/>
      <c r="B40" s="37"/>
      <c r="C40" s="38"/>
      <c r="D40" s="35"/>
      <c r="E40"/>
      <c r="F40"/>
      <c r="G40" s="39"/>
      <c r="H40"/>
      <c r="I40" s="40"/>
      <c r="J40"/>
      <c r="K40"/>
      <c r="L40"/>
      <c r="M40"/>
      <c r="N40"/>
      <c r="O40" s="92"/>
      <c r="P40" s="95"/>
      <c r="Q40" s="96"/>
      <c r="R40" s="96"/>
      <c r="S40" s="96"/>
      <c r="T40" s="96"/>
      <c r="U40" s="96"/>
      <c r="V40" s="91"/>
    </row>
    <row r="41" spans="1:22" ht="15">
      <c r="A41" s="36"/>
      <c r="B41" s="41">
        <f>+B39+1</f>
        <v>14</v>
      </c>
      <c r="C41" s="38"/>
      <c r="D41" s="35" t="str">
        <f>"Annual Point-to-Point Rate in $/MW - Year"</f>
        <v>Annual Point-to-Point Rate in $/MW - Year</v>
      </c>
      <c r="E41" s="42"/>
      <c r="F41" s="42"/>
      <c r="G41" s="43" t="str">
        <f>"(Ln "&amp;B36&amp;" / Ln "&amp;B39&amp;")"</f>
        <v>(Ln 12 / Ln 13)</v>
      </c>
      <c r="H41" s="42"/>
      <c r="I41" s="69">
        <f>ROUND(+I36/I39,4)</f>
        <v>35001.3907</v>
      </c>
      <c r="J41" s="42"/>
      <c r="K41"/>
      <c r="L41"/>
      <c r="M41"/>
      <c r="N41"/>
      <c r="O41" s="92"/>
      <c r="P41" s="95"/>
      <c r="Q41" s="96"/>
      <c r="R41" s="96"/>
      <c r="S41" s="96"/>
      <c r="T41" s="96"/>
      <c r="U41" s="96"/>
      <c r="V41" s="91"/>
    </row>
    <row r="42" spans="1:22" ht="15">
      <c r="A42" s="36"/>
      <c r="B42" s="41">
        <f aca="true" t="shared" si="0" ref="B42:B47">+B41+1</f>
        <v>15</v>
      </c>
      <c r="C42" s="38"/>
      <c r="D42" s="35" t="str">
        <f>"Monthly Point-to-Point Rate in $/MW - Month"</f>
        <v>Monthly Point-to-Point Rate in $/MW - Month</v>
      </c>
      <c r="E42" s="42"/>
      <c r="F42" s="42"/>
      <c r="G42" s="43" t="str">
        <f>"(Ln "&amp;B41&amp;" / 12)"</f>
        <v>(Ln 14 / 12)</v>
      </c>
      <c r="H42" s="42"/>
      <c r="I42" s="69">
        <f>ROUND(+I$41/12,4)</f>
        <v>2916.7826</v>
      </c>
      <c r="J42" s="42"/>
      <c r="K42"/>
      <c r="L42"/>
      <c r="M42"/>
      <c r="N42"/>
      <c r="O42" s="92"/>
      <c r="P42" s="95"/>
      <c r="Q42" s="96"/>
      <c r="R42" s="96"/>
      <c r="S42" s="96"/>
      <c r="T42" s="96"/>
      <c r="U42" s="96"/>
      <c r="V42" s="91"/>
    </row>
    <row r="43" spans="1:22" ht="15">
      <c r="A43" s="36"/>
      <c r="B43" s="41">
        <f t="shared" si="0"/>
        <v>16</v>
      </c>
      <c r="C43" s="38"/>
      <c r="D43" s="35" t="str">
        <f>"Weekly Point-to-Point Rate in $/MW - Weekly"</f>
        <v>Weekly Point-to-Point Rate in $/MW - Weekly</v>
      </c>
      <c r="E43" s="38"/>
      <c r="F43" s="38"/>
      <c r="G43" s="43" t="str">
        <f>"(Ln "&amp;B41&amp;" / 52)"</f>
        <v>(Ln 14 / 52)</v>
      </c>
      <c r="H43" s="38"/>
      <c r="I43" s="69">
        <f>ROUND(+I41/52,4)</f>
        <v>673.1037</v>
      </c>
      <c r="J43" s="38"/>
      <c r="K43"/>
      <c r="L43"/>
      <c r="M43"/>
      <c r="N43"/>
      <c r="O43" s="92"/>
      <c r="P43" s="95"/>
      <c r="Q43" s="96"/>
      <c r="R43" s="96"/>
      <c r="S43" s="96"/>
      <c r="T43" s="96"/>
      <c r="U43" s="96"/>
      <c r="V43" s="91"/>
    </row>
    <row r="44" spans="2:22" ht="15">
      <c r="B44" s="41">
        <f t="shared" si="0"/>
        <v>17</v>
      </c>
      <c r="C44" s="38"/>
      <c r="D44" s="35" t="str">
        <f>"Daily On-Peak Point-to-Point Rate in $/MW - Day"</f>
        <v>Daily On-Peak Point-to-Point Rate in $/MW - Day</v>
      </c>
      <c r="E44" s="42"/>
      <c r="F44" s="42"/>
      <c r="G44" s="43" t="str">
        <f>"(Ln "&amp;B41&amp;" / 260)"</f>
        <v>(Ln 14 / 260)</v>
      </c>
      <c r="H44" s="42"/>
      <c r="I44" s="69">
        <f>ROUND(+I41/260,4)</f>
        <v>134.6207</v>
      </c>
      <c r="J44" s="42"/>
      <c r="K44"/>
      <c r="L44"/>
      <c r="M44"/>
      <c r="N44"/>
      <c r="O44" s="92"/>
      <c r="P44" s="95"/>
      <c r="Q44" s="96"/>
      <c r="R44" s="96"/>
      <c r="S44" s="96"/>
      <c r="T44" s="96"/>
      <c r="U44" s="96"/>
      <c r="V44" s="91"/>
    </row>
    <row r="45" spans="2:22" ht="15">
      <c r="B45" s="41">
        <f t="shared" si="0"/>
        <v>18</v>
      </c>
      <c r="C45" s="38"/>
      <c r="D45" s="35" t="str">
        <f>"Daily Off-Peak Point-to-Point Rate in $/MW - Day"</f>
        <v>Daily Off-Peak Point-to-Point Rate in $/MW - Day</v>
      </c>
      <c r="E45" s="42"/>
      <c r="F45" s="42"/>
      <c r="G45" s="43" t="str">
        <f>"(Ln "&amp;B41&amp;" / 365)"</f>
        <v>(Ln 14 / 365)</v>
      </c>
      <c r="H45" s="42"/>
      <c r="I45" s="69">
        <f>ROUND(+I41/365,4)</f>
        <v>95.8942</v>
      </c>
      <c r="J45" s="42"/>
      <c r="K45"/>
      <c r="L45"/>
      <c r="M45"/>
      <c r="N45"/>
      <c r="O45" s="92"/>
      <c r="P45" s="95"/>
      <c r="Q45" s="96"/>
      <c r="R45" s="96"/>
      <c r="S45" s="96"/>
      <c r="T45" s="96"/>
      <c r="U45" s="96"/>
      <c r="V45" s="91"/>
    </row>
    <row r="46" spans="2:22" ht="15">
      <c r="B46" s="41">
        <f t="shared" si="0"/>
        <v>19</v>
      </c>
      <c r="C46" s="38"/>
      <c r="D46" s="35" t="str">
        <f>"Hourly On-Peak Point-to-Point Rate in $/MW - Hour"</f>
        <v>Hourly On-Peak Point-to-Point Rate in $/MW - Hour</v>
      </c>
      <c r="E46" s="42"/>
      <c r="F46" s="42"/>
      <c r="G46" s="43" t="str">
        <f>"(Ln "&amp;B41&amp;" / 4160)"</f>
        <v>(Ln 14 / 4160)</v>
      </c>
      <c r="H46" s="42"/>
      <c r="I46" s="69">
        <f>ROUND(+I41/4160,4)</f>
        <v>8.4138</v>
      </c>
      <c r="J46" s="42"/>
      <c r="K46"/>
      <c r="L46"/>
      <c r="M46"/>
      <c r="N46"/>
      <c r="O46" s="92"/>
      <c r="P46" s="95"/>
      <c r="Q46" s="96"/>
      <c r="R46" s="96"/>
      <c r="S46" s="96"/>
      <c r="T46" s="96"/>
      <c r="U46" s="96"/>
      <c r="V46" s="91"/>
    </row>
    <row r="47" spans="2:22" ht="15">
      <c r="B47" s="41">
        <f t="shared" si="0"/>
        <v>20</v>
      </c>
      <c r="C47" s="38"/>
      <c r="D47" s="35" t="str">
        <f>"Hourly Off-Peak Point-to-Point Rate in $/MW - Hour"</f>
        <v>Hourly Off-Peak Point-to-Point Rate in $/MW - Hour</v>
      </c>
      <c r="E47" s="42"/>
      <c r="F47" s="42"/>
      <c r="G47" s="43" t="str">
        <f>"(Ln "&amp;B41&amp;" / 8760)"</f>
        <v>(Ln 14 / 8760)</v>
      </c>
      <c r="H47" s="42"/>
      <c r="I47" s="69">
        <f>ROUND(+I41/8760,4)</f>
        <v>3.9956</v>
      </c>
      <c r="J47" s="42"/>
      <c r="K47"/>
      <c r="L47"/>
      <c r="M47"/>
      <c r="N47"/>
      <c r="O47" s="92"/>
      <c r="P47" s="95"/>
      <c r="Q47" s="96"/>
      <c r="R47" s="96"/>
      <c r="S47" s="96"/>
      <c r="T47" s="96"/>
      <c r="U47" s="96"/>
      <c r="V47" s="91"/>
    </row>
    <row r="48" spans="7:29" ht="15">
      <c r="G48" s="44"/>
      <c r="H48" s="4"/>
      <c r="J48" s="4"/>
      <c r="K48"/>
      <c r="L48"/>
      <c r="M48"/>
      <c r="N48"/>
      <c r="O48"/>
      <c r="P48"/>
      <c r="Q48"/>
      <c r="R48"/>
      <c r="S48"/>
      <c r="T48"/>
      <c r="U48"/>
      <c r="V48" s="92"/>
      <c r="W48" s="97"/>
      <c r="X48" s="98"/>
      <c r="Y48" s="98"/>
      <c r="Z48" s="98"/>
      <c r="AA48" s="98"/>
      <c r="AB48" s="98"/>
      <c r="AC48" s="91"/>
    </row>
    <row r="49" spans="1:29" ht="15.75">
      <c r="A49" s="12" t="s">
        <v>21</v>
      </c>
      <c r="B49" s="17" t="s">
        <v>33</v>
      </c>
      <c r="C49" s="15"/>
      <c r="D49" s="6"/>
      <c r="E49" s="15"/>
      <c r="F49" s="6"/>
      <c r="G49" s="8"/>
      <c r="H49" s="6"/>
      <c r="J49" s="6"/>
      <c r="L49" s="6"/>
      <c r="V49" s="91"/>
      <c r="W49" s="91"/>
      <c r="X49" s="91"/>
      <c r="Y49" s="91"/>
      <c r="Z49" s="91"/>
      <c r="AA49" s="91"/>
      <c r="AB49" s="91"/>
      <c r="AC49" s="91"/>
    </row>
    <row r="50" spans="2:27" ht="15">
      <c r="B50" s="45">
        <f>+B47+1</f>
        <v>21</v>
      </c>
      <c r="C50" s="42"/>
      <c r="D50" s="42" t="str">
        <f>"RTEP UPGRADE ATRR W/O INCENTIVES"</f>
        <v>RTEP UPGRADE ATRR W/O INCENTIVES</v>
      </c>
      <c r="G50" s="21" t="str">
        <f>"(Ln "&amp;B24&amp;")"</f>
        <v>(Ln 7)</v>
      </c>
      <c r="H50" s="42"/>
      <c r="I50" s="46">
        <f>SUM(K50,M50,O50,Q50,S50,U50)</f>
        <v>37957301.62234637</v>
      </c>
      <c r="J50" s="42"/>
      <c r="K50" s="47">
        <f>K24</f>
        <v>21491172.967819393</v>
      </c>
      <c r="L50" s="42"/>
      <c r="M50" s="47">
        <f>M24</f>
        <v>5501501.426143492</v>
      </c>
      <c r="N50" s="40"/>
      <c r="O50" s="47">
        <f>O24</f>
        <v>0</v>
      </c>
      <c r="P50" s="40"/>
      <c r="Q50" s="47">
        <f>Q24</f>
        <v>0</v>
      </c>
      <c r="R50" s="40"/>
      <c r="S50" s="47">
        <f>S24</f>
        <v>10841177.943773547</v>
      </c>
      <c r="T50" s="40"/>
      <c r="U50" s="47">
        <f>U24</f>
        <v>123449.28460994094</v>
      </c>
      <c r="Y50"/>
      <c r="AA50"/>
    </row>
    <row r="51" spans="2:21" ht="15">
      <c r="B51" s="45">
        <f>+B50+1</f>
        <v>22</v>
      </c>
      <c r="C51" s="42"/>
      <c r="D51" s="1" t="s">
        <v>37</v>
      </c>
      <c r="G51" s="25" t="str">
        <f>"(Worksheet J)"</f>
        <v>(Worksheet J)</v>
      </c>
      <c r="H51" s="42"/>
      <c r="I51" s="46">
        <f>SUM(K51,M51,O51,Q51,S51,U51)</f>
        <v>0</v>
      </c>
      <c r="J51" s="42"/>
      <c r="K51" s="23">
        <v>0</v>
      </c>
      <c r="L51" s="42"/>
      <c r="M51" s="23">
        <v>0</v>
      </c>
      <c r="N51" s="40"/>
      <c r="O51" s="23">
        <v>0</v>
      </c>
      <c r="P51" s="40"/>
      <c r="Q51" s="23">
        <v>0</v>
      </c>
      <c r="R51" s="40"/>
      <c r="S51" s="23">
        <v>0</v>
      </c>
      <c r="T51" s="40"/>
      <c r="U51" s="23">
        <v>0</v>
      </c>
    </row>
    <row r="52" spans="2:21" ht="15.75" thickBot="1">
      <c r="B52" s="45">
        <f>+B51+1</f>
        <v>23</v>
      </c>
      <c r="C52" s="42"/>
      <c r="D52" s="1" t="s">
        <v>48</v>
      </c>
      <c r="G52" s="21" t="s">
        <v>53</v>
      </c>
      <c r="H52" s="42"/>
      <c r="I52" s="46">
        <f>SUM(K52,M52,O52,Q52,S52,U52)</f>
        <v>0</v>
      </c>
      <c r="J52" s="38"/>
      <c r="K52" s="101">
        <v>0</v>
      </c>
      <c r="L52" s="110"/>
      <c r="M52" s="102">
        <v>0</v>
      </c>
      <c r="N52" s="46"/>
      <c r="O52" s="102">
        <v>0</v>
      </c>
      <c r="P52" s="46"/>
      <c r="Q52" s="102">
        <v>0</v>
      </c>
      <c r="R52" s="46"/>
      <c r="S52" s="102">
        <v>0</v>
      </c>
      <c r="T52" s="46"/>
      <c r="U52" s="102">
        <v>0</v>
      </c>
    </row>
    <row r="53" spans="2:21" ht="16.5" thickBot="1">
      <c r="B53" s="45">
        <f>+B52+1</f>
        <v>24</v>
      </c>
      <c r="C53" s="42"/>
      <c r="D53" s="67" t="s">
        <v>55</v>
      </c>
      <c r="E53" s="29"/>
      <c r="F53" s="29"/>
      <c r="G53" s="48"/>
      <c r="H53" s="48"/>
      <c r="I53" s="49">
        <f>+I50+I51+I52</f>
        <v>37957301.62234637</v>
      </c>
      <c r="J53" s="42"/>
      <c r="K53" s="50">
        <f>+K50+K51+K52</f>
        <v>21491172.967819393</v>
      </c>
      <c r="L53" s="42"/>
      <c r="M53" s="50">
        <f>+M50+M51+M52</f>
        <v>5501501.426143492</v>
      </c>
      <c r="N53" s="40"/>
      <c r="O53" s="50">
        <f>+O50+O51+O52</f>
        <v>0</v>
      </c>
      <c r="P53" s="40"/>
      <c r="Q53" s="50">
        <f>+Q50+Q51+Q52</f>
        <v>0</v>
      </c>
      <c r="R53" s="40"/>
      <c r="S53" s="50">
        <f>+S50+S51+S52</f>
        <v>10841177.943773547</v>
      </c>
      <c r="T53" s="40"/>
      <c r="U53" s="50">
        <f>+U50+U51+U52</f>
        <v>123449.28460994094</v>
      </c>
    </row>
    <row r="54" spans="2:21" ht="15">
      <c r="B54" s="51"/>
      <c r="C54" s="42"/>
      <c r="D54" s="42"/>
      <c r="E54" s="42"/>
      <c r="F54" s="42"/>
      <c r="G54" s="42"/>
      <c r="H54" s="42"/>
      <c r="I54" s="40"/>
      <c r="J54" s="42"/>
      <c r="K54" s="42"/>
      <c r="L54" s="42"/>
      <c r="M54" s="42"/>
      <c r="N54" s="40"/>
      <c r="O54" s="42"/>
      <c r="P54" s="40"/>
      <c r="Q54" s="42"/>
      <c r="R54" s="40"/>
      <c r="S54" s="42"/>
      <c r="T54" s="40"/>
      <c r="U54" s="42"/>
    </row>
    <row r="55" spans="2:21" ht="15">
      <c r="B55" s="51"/>
      <c r="C55" s="42"/>
      <c r="D55" s="42" t="s">
        <v>12</v>
      </c>
      <c r="E55" s="52" t="s">
        <v>12</v>
      </c>
      <c r="F55" s="42"/>
      <c r="G55" s="42"/>
      <c r="H55" s="42"/>
      <c r="I55" s="40"/>
      <c r="J55" s="42"/>
      <c r="K55" s="42"/>
      <c r="L55" s="42"/>
      <c r="M55" s="42"/>
      <c r="N55" s="40"/>
      <c r="O55" s="42"/>
      <c r="P55" s="40"/>
      <c r="Q55" s="42"/>
      <c r="R55" s="40"/>
      <c r="S55" s="42"/>
      <c r="T55" s="40"/>
      <c r="U55" s="42"/>
    </row>
    <row r="56" spans="2:21" ht="15">
      <c r="B56" s="51"/>
      <c r="C56" s="42"/>
      <c r="D56" s="42" t="s">
        <v>52</v>
      </c>
      <c r="E56" s="52" t="s">
        <v>12</v>
      </c>
      <c r="F56" s="42"/>
      <c r="G56" s="42"/>
      <c r="H56" s="42"/>
      <c r="I56" s="53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/>
      <c r="E57" s="42"/>
      <c r="F57" s="42"/>
      <c r="G57" s="54" t="s">
        <v>12</v>
      </c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5"/>
      <c r="C58" s="56"/>
      <c r="D58" s="56"/>
      <c r="E58" s="56"/>
      <c r="F58" s="56"/>
      <c r="G58" s="56"/>
      <c r="H58" s="56"/>
      <c r="I58" s="40"/>
      <c r="J58" s="56"/>
      <c r="K58" s="56"/>
      <c r="L58" s="56"/>
      <c r="M58" s="56"/>
      <c r="N58" s="40"/>
      <c r="O58" s="56"/>
      <c r="P58" s="40"/>
      <c r="Q58" s="56"/>
      <c r="R58" s="40"/>
      <c r="S58" s="56"/>
      <c r="T58" s="40"/>
      <c r="U58" s="56"/>
    </row>
    <row r="59" spans="2:21" ht="15">
      <c r="B59" s="55"/>
      <c r="C59" s="56"/>
      <c r="D59" s="56"/>
      <c r="E59" s="56"/>
      <c r="F59" s="56"/>
      <c r="G59" s="56"/>
      <c r="H59" s="56"/>
      <c r="I59" s="40"/>
      <c r="J59" s="56"/>
      <c r="K59" s="56"/>
      <c r="L59" s="56"/>
      <c r="M59" s="56"/>
      <c r="N59" s="40"/>
      <c r="O59" s="56"/>
      <c r="P59" s="40"/>
      <c r="Q59" s="56"/>
      <c r="R59" s="40"/>
      <c r="S59" s="56"/>
      <c r="T59" s="40"/>
      <c r="U59" s="56"/>
    </row>
    <row r="60" spans="2:21" ht="15">
      <c r="B60" s="55"/>
      <c r="C60" s="56"/>
      <c r="D60" s="56" t="s">
        <v>12</v>
      </c>
      <c r="E60" s="56"/>
      <c r="F60" s="56"/>
      <c r="G60" s="56"/>
      <c r="H60" s="56"/>
      <c r="I60" s="40"/>
      <c r="J60" s="56"/>
      <c r="K60" s="56"/>
      <c r="L60" s="56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">
      <c r="B61" s="55"/>
      <c r="C61" s="56"/>
      <c r="D61" s="56" t="s">
        <v>12</v>
      </c>
      <c r="E61" s="56"/>
      <c r="F61" s="56"/>
      <c r="G61" s="56"/>
      <c r="H61" s="56"/>
      <c r="I61" s="40"/>
      <c r="J61" s="56"/>
      <c r="K61" s="56"/>
      <c r="L61" s="56"/>
      <c r="M61" s="40"/>
      <c r="N61" s="40"/>
      <c r="O61" s="40"/>
      <c r="P61" s="40"/>
      <c r="Q61" s="40"/>
      <c r="R61" s="40"/>
      <c r="S61" s="40"/>
      <c r="T61" s="40"/>
      <c r="U61" s="40"/>
    </row>
    <row r="62" spans="2:21" ht="15">
      <c r="B62" s="55"/>
      <c r="C62" s="56"/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7"/>
      <c r="C65" s="40"/>
      <c r="D65" s="40" t="s">
        <v>60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40"/>
      <c r="D66" s="40" t="s">
        <v>12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12" ht="15">
      <c r="B125" s="58"/>
      <c r="C125" s="36"/>
      <c r="D125" s="36"/>
      <c r="E125" s="36"/>
      <c r="F125" s="36"/>
      <c r="G125" s="36"/>
      <c r="H125" s="36"/>
      <c r="J125" s="36"/>
      <c r="K125" s="36"/>
      <c r="L125" s="36"/>
    </row>
    <row r="126" spans="2:12" ht="15">
      <c r="B126" s="58"/>
      <c r="C126" s="36"/>
      <c r="D126" s="36"/>
      <c r="E126" s="36"/>
      <c r="F126" s="36"/>
      <c r="G126" s="36"/>
      <c r="H126" s="36"/>
      <c r="J126" s="36"/>
      <c r="K126" s="36"/>
      <c r="L126" s="36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46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7"/>
  <sheetViews>
    <sheetView view="pageBreakPreview" zoomScale="60" zoomScaleNormal="75" zoomScalePageLayoutView="0" workbookViewId="0" topLeftCell="A1">
      <selection activeCell="G30" sqref="G3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4"/>
      <c r="I1"/>
      <c r="J1"/>
      <c r="S1" s="2"/>
    </row>
    <row r="2" spans="2:19" ht="15">
      <c r="B2" s="3"/>
      <c r="C2" s="4"/>
      <c r="D2" s="4"/>
      <c r="E2" s="4"/>
      <c r="F2" s="4"/>
      <c r="H2" s="4"/>
      <c r="I2" s="4"/>
      <c r="J2" s="4"/>
      <c r="S2" s="2"/>
    </row>
    <row r="3" spans="1:19" ht="15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">
      <c r="A4" s="130" t="s">
        <v>59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5">
      <c r="A5" s="129" t="str">
        <f>"Included in rates effective January 1, 2020"</f>
        <v>Included in rates effective January 1, 2020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2:10" ht="15">
      <c r="B6" s="7"/>
      <c r="C6" s="8"/>
      <c r="D6" s="6"/>
      <c r="H6" s="6"/>
      <c r="I6" s="9"/>
      <c r="J6" s="9"/>
    </row>
    <row r="7" spans="1:19" ht="15.75">
      <c r="A7" s="131" t="s">
        <v>40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23623338.88</v>
      </c>
      <c r="H15" s="74"/>
      <c r="I15" s="34">
        <v>11986419.97</v>
      </c>
      <c r="J15" s="34"/>
      <c r="K15" s="34">
        <v>7073509.609999999</v>
      </c>
      <c r="L15" s="19"/>
      <c r="M15" s="34">
        <v>2295690.0700000003</v>
      </c>
      <c r="N15" s="19"/>
      <c r="O15" s="34">
        <v>12775</v>
      </c>
      <c r="P15" s="19"/>
      <c r="Q15" s="34">
        <v>863233.5100000001</v>
      </c>
      <c r="R15" s="19"/>
      <c r="S15" s="34">
        <v>1391710.7200000004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15457339</v>
      </c>
      <c r="H16" s="74"/>
      <c r="I16" s="34">
        <v>7509381</v>
      </c>
      <c r="J16" s="34"/>
      <c r="K16" s="34">
        <v>5243563</v>
      </c>
      <c r="L16" s="19"/>
      <c r="M16" s="34">
        <v>1518251</v>
      </c>
      <c r="N16" s="19"/>
      <c r="O16" s="34">
        <v>0</v>
      </c>
      <c r="P16" s="19"/>
      <c r="Q16" s="34">
        <v>77131</v>
      </c>
      <c r="R16" s="19"/>
      <c r="S16" s="34">
        <v>1109013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3782389</v>
      </c>
      <c r="H17" s="74"/>
      <c r="I17" s="59">
        <v>1855896</v>
      </c>
      <c r="J17" s="34"/>
      <c r="K17" s="59">
        <v>1343396</v>
      </c>
      <c r="L17" s="19"/>
      <c r="M17" s="59">
        <v>344695</v>
      </c>
      <c r="N17" s="19"/>
      <c r="O17" s="59">
        <v>0</v>
      </c>
      <c r="P17" s="19"/>
      <c r="Q17" s="59">
        <v>0</v>
      </c>
      <c r="R17" s="19"/>
      <c r="S17" s="59">
        <v>238402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4383610.879999999</v>
      </c>
      <c r="H18" s="74"/>
      <c r="I18" s="34">
        <f>+I15-I16-I17</f>
        <v>2621142.9700000007</v>
      </c>
      <c r="J18" s="34"/>
      <c r="K18" s="75">
        <f>+K15-K16-K17</f>
        <v>486550.6099999994</v>
      </c>
      <c r="L18" s="19"/>
      <c r="M18" s="34">
        <f>+M15-M16-M17</f>
        <v>432744.0700000003</v>
      </c>
      <c r="N18" s="19"/>
      <c r="O18" s="34">
        <f>+O15-O16-O17</f>
        <v>12775</v>
      </c>
      <c r="P18" s="19"/>
      <c r="Q18" s="75">
        <f>+Q15-Q16-Q17</f>
        <v>786102.5100000001</v>
      </c>
      <c r="R18" s="19"/>
      <c r="S18" s="34">
        <f>+S15-S16-S17</f>
        <v>44295.72000000044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4">
        <f>SUM(I20,K20,M20,O20,Q20,S20)</f>
        <v>395400</v>
      </c>
      <c r="H20" s="112"/>
      <c r="I20" s="125">
        <v>121613</v>
      </c>
      <c r="J20" s="117"/>
      <c r="K20" s="125">
        <v>61613</v>
      </c>
      <c r="L20" s="111"/>
      <c r="M20" s="125">
        <v>29974</v>
      </c>
      <c r="N20" s="111"/>
      <c r="O20" s="125">
        <v>1244</v>
      </c>
      <c r="P20" s="111"/>
      <c r="Q20" s="125">
        <v>177375</v>
      </c>
      <c r="R20" s="111"/>
      <c r="S20" s="125">
        <v>3581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3988210.880000001</v>
      </c>
      <c r="H22" s="22"/>
      <c r="I22" s="70">
        <f>I18-I20</f>
        <v>2499529.9700000007</v>
      </c>
      <c r="J22" s="77"/>
      <c r="K22" s="82">
        <f>K18-K20</f>
        <v>424937.6099999994</v>
      </c>
      <c r="L22" s="19"/>
      <c r="M22" s="70">
        <f>M18-M20</f>
        <v>402770.0700000003</v>
      </c>
      <c r="N22" s="19"/>
      <c r="O22" s="70">
        <f>O18-O20</f>
        <v>11531</v>
      </c>
      <c r="P22" s="19"/>
      <c r="Q22" s="82">
        <f>Q18-Q20</f>
        <v>608727.5100000001</v>
      </c>
      <c r="R22" s="19"/>
      <c r="S22" s="70">
        <f>S18-S20</f>
        <v>40714.72000000044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e">
        <f>"BILLED HISTORICAL YEAR ("&amp;#REF!-1&amp;") ACTUAL ARR"</f>
        <v>#REF!</v>
      </c>
      <c r="E24" s="25" t="e">
        <f>"Input from "&amp;#REF!-1&amp;" True-up"</f>
        <v>#REF!</v>
      </c>
      <c r="F24" s="4"/>
      <c r="G24" s="34">
        <f>SUM(I24,K24,M24,O24,Q24,S24)</f>
        <v>12377334.913967999</v>
      </c>
      <c r="H24" s="22"/>
      <c r="I24" s="105">
        <v>3630078.292248812</v>
      </c>
      <c r="J24" s="78"/>
      <c r="K24" s="104">
        <v>1740854.935908394</v>
      </c>
      <c r="L24" s="71"/>
      <c r="M24" s="104">
        <v>919771.6660605923</v>
      </c>
      <c r="N24" s="71"/>
      <c r="O24" s="104">
        <v>47517.719969749356</v>
      </c>
      <c r="P24" s="71"/>
      <c r="Q24" s="104">
        <v>5929029.059295763</v>
      </c>
      <c r="R24" s="71"/>
      <c r="S24" s="104">
        <v>110083.24048468919</v>
      </c>
    </row>
    <row r="25" spans="2:19" ht="15" hidden="1">
      <c r="B25" s="41">
        <f>+B24+1</f>
        <v>8</v>
      </c>
      <c r="C25" s="64"/>
      <c r="D25" s="35" t="e">
        <f>"BILLED PROJECTED ("&amp;#REF!-1&amp;") ARR FROM PRIOR YEAR"</f>
        <v>#REF!</v>
      </c>
      <c r="E25" s="25" t="s">
        <v>16</v>
      </c>
      <c r="F25" s="4"/>
      <c r="G25" s="59">
        <f>SUM(I25,K25,M25,O25,Q25,S25)</f>
        <v>12712093.3502318</v>
      </c>
      <c r="H25" s="22"/>
      <c r="I25" s="106">
        <v>3725428.028145807</v>
      </c>
      <c r="J25" s="78"/>
      <c r="K25" s="106">
        <v>1783592.7880917941</v>
      </c>
      <c r="L25" s="71"/>
      <c r="M25" s="106">
        <v>942787.9868058556</v>
      </c>
      <c r="N25" s="71"/>
      <c r="O25" s="106">
        <v>48785.82489255166</v>
      </c>
      <c r="P25" s="71"/>
      <c r="Q25" s="106">
        <v>6098364.220265432</v>
      </c>
      <c r="R25" s="71"/>
      <c r="S25" s="106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5">
        <v>0</v>
      </c>
      <c r="J28" s="78"/>
      <c r="K28" s="104">
        <v>0</v>
      </c>
      <c r="L28" s="71"/>
      <c r="M28" s="104">
        <v>0</v>
      </c>
      <c r="N28" s="71"/>
      <c r="O28" s="104">
        <v>0</v>
      </c>
      <c r="P28" s="71"/>
      <c r="Q28" s="104">
        <v>0</v>
      </c>
      <c r="R28" s="71"/>
      <c r="S28" s="104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3988210.880000001</v>
      </c>
      <c r="H30" s="74"/>
      <c r="I30" s="33">
        <f>+I22+I26+I28</f>
        <v>2499529.9700000007</v>
      </c>
      <c r="J30" s="34"/>
      <c r="K30" s="73">
        <f>+K22+K26+K28</f>
        <v>424937.6099999994</v>
      </c>
      <c r="L30" s="19"/>
      <c r="M30" s="33">
        <f>+M22+M26+M28</f>
        <v>402770.0700000003</v>
      </c>
      <c r="N30" s="19"/>
      <c r="O30" s="33">
        <f>+O22+O26+O28</f>
        <v>11531</v>
      </c>
      <c r="P30" s="19"/>
      <c r="Q30" s="73">
        <f>+Q22+Q26+Q28</f>
        <v>608727.5100000001</v>
      </c>
      <c r="R30" s="19"/>
      <c r="S30" s="33">
        <f>+S22+S26+S28</f>
        <v>40714.72000000044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H32" s="6"/>
    </row>
    <row r="33" spans="2:8" ht="15">
      <c r="B33" s="7">
        <f>+B30+1</f>
        <v>9</v>
      </c>
      <c r="C33" s="8"/>
      <c r="D33" s="35" t="str">
        <f>"2018 AEP East Zone Annual MWh"</f>
        <v>2018 AEP East Zone Annual MWh</v>
      </c>
      <c r="E33" s="8"/>
      <c r="F33" s="21"/>
      <c r="G33" s="123">
        <v>132718311.15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0.030050193115345417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18"/>
      <c r="E37" s="42"/>
      <c r="F37" s="38"/>
      <c r="H37" s="42"/>
      <c r="J37" s="4"/>
    </row>
    <row r="38" spans="2:19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</row>
    <row r="39" spans="2:19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</row>
    <row r="41" spans="2:19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</row>
    <row r="42" spans="2:19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</row>
    <row r="43" spans="2:19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</row>
    <row r="44" spans="2:19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</row>
    <row r="45" spans="2:19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</row>
    <row r="46" spans="2:19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</row>
    <row r="47" spans="2:19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</row>
    <row r="48" spans="2:19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</row>
    <row r="49" spans="2:19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</row>
    <row r="50" spans="2:19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</row>
    <row r="51" spans="2:19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</row>
    <row r="52" spans="2:19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</row>
    <row r="53" spans="2:19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</row>
    <row r="54" spans="2:19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</row>
    <row r="55" spans="2:19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</row>
    <row r="56" spans="2:19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</row>
    <row r="57" spans="2:19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</row>
    <row r="58" spans="2:19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</row>
    <row r="59" spans="2:19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</row>
    <row r="60" spans="2:19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2:19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2:19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2:19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2:19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2:19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2:19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2:19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2:19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2:19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2:19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2:19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2:19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2:19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2:19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2:19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2:19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2:19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2:19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2:19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2:19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2:19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2:19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2:19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2:19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2:19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2:19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2:19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2:19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2:19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2:19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2:19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2:19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2:19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2:19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2:19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2:19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2:19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2:19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2:19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2:19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2:19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2:19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19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2:19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7:S7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3" r:id="rId1"/>
  <headerFooter alignWithMargins="0">
    <oddHeader>&amp;R&amp;18Schedule 1A  PTRR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>AEP Internal</cp:keywords>
  <dc:description/>
  <cp:lastModifiedBy>s134129</cp:lastModifiedBy>
  <cp:lastPrinted>2019-05-24T23:18:48Z</cp:lastPrinted>
  <dcterms:created xsi:type="dcterms:W3CDTF">2008-07-20T22:34:28Z</dcterms:created>
  <dcterms:modified xsi:type="dcterms:W3CDTF">2019-05-28T15:50:46Z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d4bbc79e-9f62-41af-ab64-b397e052e368</vt:lpwstr>
  </property>
  <property fmtid="{D5CDD505-2E9C-101B-9397-08002B2CF9AE}" pid="3" name="bjSaver">
    <vt:lpwstr>HTegTYUHA5Eno747PWutbmINAXeRHZsu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